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55" windowWidth="14805" windowHeight="7560"/>
  </bookViews>
  <sheets>
    <sheet name="BUCK_V0.23" sheetId="4" r:id="rId1"/>
    <sheet name="BUCK BOOST_V0.23" sheetId="6" r:id="rId2"/>
    <sheet name="BUCK_non PF_V0.23" sheetId="8" r:id="rId3"/>
  </sheets>
  <calcPr calcId="152511"/>
</workbook>
</file>

<file path=xl/calcChain.xml><?xml version="1.0" encoding="utf-8"?>
<calcChain xmlns="http://schemas.openxmlformats.org/spreadsheetml/2006/main">
  <c r="C31" i="8" l="1"/>
  <c r="C33" i="6"/>
  <c r="C33" i="4"/>
  <c r="C14" i="6" l="1"/>
  <c r="C57" i="8" l="1"/>
  <c r="C59" i="6"/>
  <c r="C59" i="4"/>
  <c r="C39" i="8"/>
  <c r="C37" i="8" s="1"/>
  <c r="C38" i="8"/>
  <c r="C36" i="8" s="1"/>
  <c r="C34" i="8"/>
  <c r="C26" i="8"/>
  <c r="C48" i="8"/>
  <c r="C35" i="8" l="1"/>
  <c r="C41" i="8"/>
  <c r="C40" i="8"/>
  <c r="C49" i="8"/>
  <c r="C44" i="8"/>
  <c r="C13" i="8"/>
  <c r="C43" i="8" l="1"/>
  <c r="C42" i="8"/>
  <c r="C56" i="8" s="1"/>
  <c r="C46" i="6"/>
  <c r="C46" i="4"/>
  <c r="C51" i="6" l="1"/>
  <c r="H19" i="6"/>
  <c r="C50" i="6"/>
  <c r="C13" i="6"/>
  <c r="C12" i="6"/>
  <c r="C36" i="6" l="1"/>
  <c r="C38" i="6" s="1"/>
  <c r="C40" i="6" s="1"/>
  <c r="C37" i="6"/>
  <c r="C39" i="6" s="1"/>
  <c r="C41" i="6" s="1"/>
  <c r="H16" i="6"/>
  <c r="C43" i="6" l="1"/>
  <c r="C42" i="6"/>
  <c r="C44" i="6" l="1"/>
  <c r="C45" i="6"/>
  <c r="C51" i="4"/>
  <c r="C58" i="6" l="1"/>
  <c r="C50" i="4"/>
  <c r="C14" i="4" l="1"/>
  <c r="C13" i="4"/>
  <c r="C12" i="4"/>
  <c r="K22" i="4" l="1"/>
  <c r="K23" i="4"/>
  <c r="I15" i="6"/>
  <c r="I16" i="6"/>
  <c r="C28" i="6" s="1"/>
  <c r="H15" i="6"/>
  <c r="K25" i="4" l="1"/>
  <c r="K27" i="4" s="1"/>
  <c r="K24" i="4"/>
  <c r="K26" i="4" s="1"/>
  <c r="C27" i="6"/>
  <c r="H14" i="4" l="1"/>
  <c r="I14" i="4"/>
  <c r="C36" i="4"/>
  <c r="H15" i="4"/>
  <c r="I15" i="4"/>
  <c r="C37" i="4"/>
  <c r="C39" i="4" s="1"/>
  <c r="C43" i="4" s="1"/>
  <c r="C45" i="4" s="1"/>
  <c r="C38" i="4"/>
  <c r="C42" i="4" l="1"/>
  <c r="C44" i="4" s="1"/>
  <c r="C28" i="4"/>
  <c r="C41" i="4"/>
  <c r="C40" i="4"/>
  <c r="C27" i="4"/>
</calcChain>
</file>

<file path=xl/sharedStrings.xml><?xml version="1.0" encoding="utf-8"?>
<sst xmlns="http://schemas.openxmlformats.org/spreadsheetml/2006/main" count="167" uniqueCount="72">
  <si>
    <t>Ton_min (μS)</t>
    <phoneticPr fontId="1" type="noConversion"/>
  </si>
  <si>
    <t>Ton_MAX (μS)</t>
    <phoneticPr fontId="1" type="noConversion"/>
  </si>
  <si>
    <t>Toff_min (μS)</t>
    <phoneticPr fontId="1" type="noConversion"/>
  </si>
  <si>
    <t>Toff_MAX (μS)</t>
    <phoneticPr fontId="1" type="noConversion"/>
  </si>
  <si>
    <t>VAC_min (V)</t>
    <phoneticPr fontId="1" type="noConversion"/>
  </si>
  <si>
    <t>VAC_MAX (V)</t>
    <phoneticPr fontId="1" type="noConversion"/>
  </si>
  <si>
    <t>VIN_peak_min (V)</t>
    <phoneticPr fontId="1" type="noConversion"/>
  </si>
  <si>
    <t>VIN_peak_MAX (V)</t>
    <phoneticPr fontId="1" type="noConversion"/>
  </si>
  <si>
    <t>IOUT (mA)</t>
    <phoneticPr fontId="1" type="noConversion"/>
  </si>
  <si>
    <t>L_MAX (μH)</t>
    <phoneticPr fontId="1" type="noConversion"/>
  </si>
  <si>
    <t>IC spec.</t>
    <phoneticPr fontId="1" type="noConversion"/>
  </si>
  <si>
    <t>Operating conditions</t>
    <phoneticPr fontId="1" type="noConversion"/>
  </si>
  <si>
    <t>Inductor selection</t>
    <phoneticPr fontId="1" type="noConversion"/>
  </si>
  <si>
    <t>L_min (μH)</t>
    <phoneticPr fontId="1" type="noConversion"/>
  </si>
  <si>
    <t>Select L (μH)</t>
    <phoneticPr fontId="1" type="noConversion"/>
  </si>
  <si>
    <t>Fill in</t>
    <phoneticPr fontId="1" type="noConversion"/>
  </si>
  <si>
    <t>Result</t>
    <phoneticPr fontId="1" type="noConversion"/>
  </si>
  <si>
    <t>After selecting the inductor</t>
    <phoneticPr fontId="1" type="noConversion"/>
  </si>
  <si>
    <t>Rsense (Ohm)</t>
    <phoneticPr fontId="1" type="noConversion"/>
  </si>
  <si>
    <t>Vsense (mV)</t>
    <phoneticPr fontId="1" type="noConversion"/>
  </si>
  <si>
    <t>(note:最大的最小值)</t>
    <phoneticPr fontId="1" type="noConversion"/>
  </si>
  <si>
    <t>(note:最小的最大值)</t>
    <phoneticPr fontId="1" type="noConversion"/>
  </si>
  <si>
    <t>From Toff</t>
    <phoneticPr fontId="1" type="noConversion"/>
  </si>
  <si>
    <t>From Ton</t>
    <phoneticPr fontId="1" type="noConversion"/>
  </si>
  <si>
    <t>隱藏區</t>
    <phoneticPr fontId="1" type="noConversion"/>
  </si>
  <si>
    <t>Toff_ACmin (μS)</t>
    <phoneticPr fontId="1" type="noConversion"/>
  </si>
  <si>
    <t>Toff_ACMAX (μS)</t>
    <phoneticPr fontId="1" type="noConversion"/>
  </si>
  <si>
    <t>F_ACmin (KHz)</t>
    <phoneticPr fontId="1" type="noConversion"/>
  </si>
  <si>
    <t>F_ACMAX (KHz)</t>
    <phoneticPr fontId="1" type="noConversion"/>
  </si>
  <si>
    <t>Ton_ACmin (μS)</t>
    <phoneticPr fontId="1" type="noConversion"/>
  </si>
  <si>
    <t>Ton_ACMAX (μS)</t>
    <phoneticPr fontId="1" type="noConversion"/>
  </si>
  <si>
    <t>Short</t>
    <phoneticPr fontId="1" type="noConversion"/>
  </si>
  <si>
    <t>Minimum Recommend Value (V)</t>
    <phoneticPr fontId="1" type="noConversion"/>
  </si>
  <si>
    <t>Maximum Recommend Value (V)</t>
    <phoneticPr fontId="1" type="noConversion"/>
  </si>
  <si>
    <t>Zenear diode selection</t>
    <phoneticPr fontId="1" type="noConversion"/>
  </si>
  <si>
    <t>OVP (V)</t>
    <phoneticPr fontId="1" type="noConversion"/>
  </si>
  <si>
    <t>Start up voltage (V)</t>
    <phoneticPr fontId="1" type="noConversion"/>
  </si>
  <si>
    <t>L Peak Current_ACmin (A)</t>
    <phoneticPr fontId="1" type="noConversion"/>
  </si>
  <si>
    <t>θAC_min</t>
    <phoneticPr fontId="1" type="noConversion"/>
  </si>
  <si>
    <t>θAC_MAX</t>
    <phoneticPr fontId="1" type="noConversion"/>
  </si>
  <si>
    <t>SIN(2θAC_min)</t>
    <phoneticPr fontId="1" type="noConversion"/>
  </si>
  <si>
    <t>SIN(2θAC_MAX)</t>
    <phoneticPr fontId="1" type="noConversion"/>
  </si>
  <si>
    <t>1/KAC_min</t>
    <phoneticPr fontId="1" type="noConversion"/>
  </si>
  <si>
    <t>1/KAC_MAX</t>
    <phoneticPr fontId="1" type="noConversion"/>
  </si>
  <si>
    <t>Toff_ACMAX (μS)</t>
    <phoneticPr fontId="1" type="noConversion"/>
  </si>
  <si>
    <t>Delay Time (μS)</t>
    <phoneticPr fontId="1" type="noConversion"/>
  </si>
  <si>
    <t>RAND (Kohm)</t>
    <phoneticPr fontId="1" type="noConversion"/>
  </si>
  <si>
    <t>Delay time selection</t>
    <phoneticPr fontId="1" type="noConversion"/>
  </si>
  <si>
    <t>Inductor design</t>
    <phoneticPr fontId="1" type="noConversion"/>
  </si>
  <si>
    <t>Turns</t>
    <phoneticPr fontId="1" type="noConversion"/>
  </si>
  <si>
    <t>L Peak Current_ACMAX (A)</t>
    <phoneticPr fontId="1" type="noConversion"/>
  </si>
  <si>
    <t>IL_RMS_ACMAX (A)</t>
    <phoneticPr fontId="1" type="noConversion"/>
  </si>
  <si>
    <t>IL_RMS_ACmin (A)</t>
    <phoneticPr fontId="1" type="noConversion"/>
  </si>
  <si>
    <t>Minimun wire size (mm)</t>
    <phoneticPr fontId="1" type="noConversion"/>
  </si>
  <si>
    <r>
      <t>Effective area-Ae (mm</t>
    </r>
    <r>
      <rPr>
        <vertAlign val="superscript"/>
        <sz val="12"/>
        <color theme="1"/>
        <rFont val="Arial Unicode MS"/>
        <family val="2"/>
        <charset val="136"/>
      </rPr>
      <t>2</t>
    </r>
    <r>
      <rPr>
        <sz val="12"/>
        <color theme="1"/>
        <rFont val="Arial Unicode MS"/>
        <family val="2"/>
        <charset val="136"/>
      </rPr>
      <t>)</t>
    </r>
    <phoneticPr fontId="1" type="noConversion"/>
  </si>
  <si>
    <t>Saturation flux density-Bsat (gauss)</t>
    <phoneticPr fontId="1" type="noConversion"/>
  </si>
  <si>
    <t>Turns</t>
    <phoneticPr fontId="1" type="noConversion"/>
  </si>
  <si>
    <t>Kv_min</t>
    <phoneticPr fontId="1" type="noConversion"/>
  </si>
  <si>
    <t>F</t>
    <phoneticPr fontId="1" type="noConversion"/>
  </si>
  <si>
    <t>VOUT (V)</t>
    <phoneticPr fontId="1" type="noConversion"/>
  </si>
  <si>
    <t>Efficiency (%)</t>
    <phoneticPr fontId="1" type="noConversion"/>
  </si>
  <si>
    <t>Frequency (KHz)</t>
    <phoneticPr fontId="1" type="noConversion"/>
  </si>
  <si>
    <t>VIN_peak_min (V)</t>
    <phoneticPr fontId="1" type="noConversion"/>
  </si>
  <si>
    <t>VIN_peak_MAX (V)</t>
    <phoneticPr fontId="1" type="noConversion"/>
  </si>
  <si>
    <t>Short</t>
    <phoneticPr fontId="1" type="noConversion"/>
  </si>
  <si>
    <t>Short</t>
    <phoneticPr fontId="1" type="noConversion"/>
  </si>
  <si>
    <t>Diode forward voltage (V)</t>
    <phoneticPr fontId="1" type="noConversion"/>
  </si>
  <si>
    <t>Over current protection (A)</t>
    <phoneticPr fontId="1" type="noConversion"/>
  </si>
  <si>
    <t>Select saturation current (A)</t>
    <phoneticPr fontId="1" type="noConversion"/>
  </si>
  <si>
    <t>Efficiency (%)</t>
    <phoneticPr fontId="1" type="noConversion"/>
  </si>
  <si>
    <t>VIN_peak_min (V)</t>
    <phoneticPr fontId="1" type="noConversion"/>
  </si>
  <si>
    <r>
      <t>Current Density J (A/mm</t>
    </r>
    <r>
      <rPr>
        <vertAlign val="superscript"/>
        <sz val="12"/>
        <color theme="1"/>
        <rFont val="Arial Unicode MS"/>
        <family val="2"/>
        <charset val="136"/>
      </rPr>
      <t>2</t>
    </r>
    <r>
      <rPr>
        <sz val="12"/>
        <color theme="1"/>
        <rFont val="Arial Unicode MS"/>
        <family val="2"/>
        <charset val="136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</si>
</sst>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vertAlign val="superscript"/>
      <sz val="12"/>
      <color theme="1"/>
      <name val="Arial Unicode MS"/>
      <family val="2"/>
      <charset val="136"/>
    </font>
    <font>
      <sz val="12"/>
      <color theme="0"/>
      <name val="Arial Unicode MS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2" fontId="2" fillId="4" borderId="1" xfId="0" applyNumberFormat="1" applyFont="1" applyFill="1" applyBorder="1"/>
    <xf numFmtId="176" fontId="2" fillId="4" borderId="1" xfId="0" applyNumberFormat="1" applyFont="1" applyFill="1" applyBorder="1"/>
    <xf numFmtId="0" fontId="2" fillId="5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0" xfId="0" applyNumberFormat="1" applyFont="1" applyBorder="1"/>
    <xf numFmtId="2" fontId="2" fillId="0" borderId="0" xfId="0" applyNumberFormat="1" applyFont="1"/>
    <xf numFmtId="177" fontId="2" fillId="0" borderId="0" xfId="0" applyNumberFormat="1" applyFont="1" applyBorder="1"/>
    <xf numFmtId="2" fontId="2" fillId="0" borderId="0" xfId="0" quotePrefix="1" applyNumberFormat="1" applyFont="1"/>
    <xf numFmtId="2" fontId="2" fillId="4" borderId="1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5" fillId="0" borderId="0" xfId="0" quotePrefix="1" applyFont="1"/>
  </cellXfs>
  <cellStyles count="1">
    <cellStyle name="一般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0" formatCode="General"/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9"/>
  <sheetViews>
    <sheetView tabSelected="1" zoomScale="85" zoomScaleNormal="85" workbookViewId="0">
      <selection sqref="A1:XFD1"/>
    </sheetView>
  </sheetViews>
  <sheetFormatPr defaultRowHeight="17.25" x14ac:dyDescent="0.3"/>
  <cols>
    <col min="1" max="1" width="8.875" style="1" customWidth="1"/>
    <col min="2" max="2" width="37.875" style="1" bestFit="1" customWidth="1"/>
    <col min="3" max="3" width="9.375" style="1" bestFit="1" customWidth="1"/>
    <col min="4" max="4" width="9" style="1"/>
    <col min="5" max="6" width="0" style="1" hidden="1" customWidth="1"/>
    <col min="7" max="7" width="12.75" style="1" hidden="1" customWidth="1"/>
    <col min="8" max="8" width="16.25" style="1" hidden="1" customWidth="1"/>
    <col min="9" max="9" width="14.875" style="1" hidden="1" customWidth="1"/>
    <col min="10" max="10" width="16.375" style="1" hidden="1" customWidth="1"/>
    <col min="11" max="11" width="18.25" style="1" hidden="1" customWidth="1"/>
    <col min="12" max="12" width="12.375" style="1" hidden="1" customWidth="1"/>
    <col min="13" max="13" width="0" style="1" hidden="1" customWidth="1"/>
    <col min="14" max="16384" width="9" style="1"/>
  </cols>
  <sheetData>
    <row r="3" spans="2:12" x14ac:dyDescent="0.3">
      <c r="B3" s="3" t="s">
        <v>15</v>
      </c>
    </row>
    <row r="4" spans="2:12" x14ac:dyDescent="0.3">
      <c r="B4" s="4" t="s">
        <v>16</v>
      </c>
    </row>
    <row r="6" spans="2:12" x14ac:dyDescent="0.3">
      <c r="B6" s="7" t="s">
        <v>11</v>
      </c>
    </row>
    <row r="7" spans="2:12" x14ac:dyDescent="0.3">
      <c r="B7" s="9" t="s">
        <v>4</v>
      </c>
      <c r="C7" s="3">
        <v>90</v>
      </c>
    </row>
    <row r="8" spans="2:12" x14ac:dyDescent="0.3">
      <c r="B8" s="9" t="s">
        <v>5</v>
      </c>
      <c r="C8" s="3">
        <v>264</v>
      </c>
    </row>
    <row r="9" spans="2:12" x14ac:dyDescent="0.3">
      <c r="B9" s="8" t="s">
        <v>59</v>
      </c>
      <c r="C9" s="3">
        <v>42</v>
      </c>
    </row>
    <row r="10" spans="2:12" x14ac:dyDescent="0.3">
      <c r="B10" s="8" t="s">
        <v>8</v>
      </c>
      <c r="C10" s="3">
        <v>700</v>
      </c>
    </row>
    <row r="11" spans="2:12" ht="18" thickBot="1" x14ac:dyDescent="0.35">
      <c r="B11" s="8" t="s">
        <v>69</v>
      </c>
      <c r="C11" s="3">
        <v>88</v>
      </c>
    </row>
    <row r="12" spans="2:12" x14ac:dyDescent="0.3">
      <c r="B12" s="2" t="s">
        <v>70</v>
      </c>
      <c r="C12" s="4">
        <f>C7*SQRT(2)</f>
        <v>127.27922061357856</v>
      </c>
      <c r="F12" s="12" t="s">
        <v>24</v>
      </c>
      <c r="G12" s="13"/>
      <c r="H12" s="13"/>
      <c r="I12" s="13"/>
      <c r="J12" s="13"/>
      <c r="K12" s="13"/>
      <c r="L12" s="14"/>
    </row>
    <row r="13" spans="2:12" x14ac:dyDescent="0.3">
      <c r="B13" s="2" t="s">
        <v>7</v>
      </c>
      <c r="C13" s="4">
        <f>C8*SQRT(2)</f>
        <v>373.3523804664971</v>
      </c>
      <c r="F13" s="15"/>
      <c r="G13" s="11"/>
      <c r="H13" s="11" t="s">
        <v>22</v>
      </c>
      <c r="I13" s="11" t="s">
        <v>23</v>
      </c>
      <c r="J13" s="11"/>
      <c r="K13" s="11"/>
      <c r="L13" s="16"/>
    </row>
    <row r="14" spans="2:12" x14ac:dyDescent="0.3">
      <c r="B14" s="6" t="s">
        <v>18</v>
      </c>
      <c r="C14" s="4">
        <f>C22/C10</f>
        <v>0.35714285714285715</v>
      </c>
      <c r="F14" s="15"/>
      <c r="G14" s="11" t="s">
        <v>9</v>
      </c>
      <c r="H14" s="20">
        <f>C9*C21/H18/C10*1000/K26</f>
        <v>398.28028526424077</v>
      </c>
      <c r="I14" s="20">
        <f>(C12-C9)*C19/H18/C10*1000/K26</f>
        <v>943.47311980800532</v>
      </c>
      <c r="J14" s="11"/>
      <c r="K14" s="11" t="s">
        <v>21</v>
      </c>
      <c r="L14" s="16"/>
    </row>
    <row r="15" spans="2:12" x14ac:dyDescent="0.3">
      <c r="F15" s="15"/>
      <c r="G15" s="11" t="s">
        <v>13</v>
      </c>
      <c r="H15" s="20">
        <f>C9*C20/H19/C10*1000/K27</f>
        <v>28.914382567217398</v>
      </c>
      <c r="I15" s="20">
        <f>(C13-C9)*C18/H19/C10*1000/K27</f>
        <v>57.028866031943281</v>
      </c>
      <c r="J15" s="11"/>
      <c r="K15" s="11" t="s">
        <v>20</v>
      </c>
      <c r="L15" s="16"/>
    </row>
    <row r="16" spans="2:12" x14ac:dyDescent="0.3">
      <c r="F16" s="15"/>
      <c r="G16" s="11"/>
      <c r="H16" s="11"/>
      <c r="I16" s="11"/>
      <c r="J16" s="11"/>
      <c r="K16" s="11"/>
      <c r="L16" s="16"/>
    </row>
    <row r="17" spans="2:13" x14ac:dyDescent="0.3">
      <c r="B17" s="7" t="s">
        <v>10</v>
      </c>
      <c r="F17" s="15"/>
      <c r="G17" s="11"/>
      <c r="H17" s="11"/>
      <c r="I17" s="11"/>
      <c r="J17" s="11"/>
      <c r="K17" s="11"/>
      <c r="L17" s="16"/>
    </row>
    <row r="18" spans="2:13" x14ac:dyDescent="0.3">
      <c r="B18" s="2" t="s">
        <v>0</v>
      </c>
      <c r="C18" s="25">
        <v>0.5</v>
      </c>
      <c r="F18" s="15"/>
      <c r="G18" s="20"/>
      <c r="H18" s="20">
        <v>4</v>
      </c>
      <c r="I18" s="11"/>
      <c r="J18" s="21"/>
      <c r="K18" s="21"/>
      <c r="L18" s="16"/>
    </row>
    <row r="19" spans="2:13" x14ac:dyDescent="0.3">
      <c r="B19" s="2" t="s">
        <v>1</v>
      </c>
      <c r="C19" s="25">
        <v>35</v>
      </c>
      <c r="F19" s="15"/>
      <c r="G19" s="20"/>
      <c r="H19" s="20">
        <v>4</v>
      </c>
      <c r="I19" s="11"/>
      <c r="J19" s="21"/>
      <c r="K19" s="23" t="s">
        <v>31</v>
      </c>
      <c r="L19" s="11"/>
      <c r="M19" s="15"/>
    </row>
    <row r="20" spans="2:13" ht="18" thickBot="1" x14ac:dyDescent="0.35">
      <c r="B20" s="2" t="s">
        <v>2</v>
      </c>
      <c r="C20" s="25">
        <v>2</v>
      </c>
      <c r="F20" s="17"/>
      <c r="G20" s="18"/>
      <c r="H20" s="18"/>
      <c r="I20" s="11"/>
      <c r="J20" s="11"/>
      <c r="K20" s="11"/>
      <c r="L20" s="11"/>
      <c r="M20" s="15"/>
    </row>
    <row r="21" spans="2:13" x14ac:dyDescent="0.3">
      <c r="B21" s="2" t="s">
        <v>3</v>
      </c>
      <c r="C21" s="25">
        <v>30</v>
      </c>
      <c r="H21" s="14"/>
      <c r="I21" s="11"/>
      <c r="J21" s="11"/>
      <c r="K21" s="11"/>
      <c r="L21" s="11"/>
      <c r="M21" s="15"/>
    </row>
    <row r="22" spans="2:13" x14ac:dyDescent="0.3">
      <c r="B22" s="2" t="s">
        <v>19</v>
      </c>
      <c r="C22" s="25">
        <v>250</v>
      </c>
      <c r="I22" s="15"/>
      <c r="J22" s="11" t="s">
        <v>38</v>
      </c>
      <c r="K22" s="22">
        <f>ASIN(C9/C12)</f>
        <v>0.33628574069014044</v>
      </c>
      <c r="L22" s="16"/>
    </row>
    <row r="23" spans="2:13" x14ac:dyDescent="0.3">
      <c r="B23" s="2" t="s">
        <v>35</v>
      </c>
      <c r="C23" s="25">
        <v>35</v>
      </c>
      <c r="I23" s="15"/>
      <c r="J23" s="11" t="s">
        <v>39</v>
      </c>
      <c r="K23" s="22">
        <f>ASIN(C9/C13)</f>
        <v>0.11273289045947017</v>
      </c>
      <c r="L23" s="16"/>
    </row>
    <row r="24" spans="2:13" x14ac:dyDescent="0.3">
      <c r="B24" s="2" t="s">
        <v>36</v>
      </c>
      <c r="C24" s="25">
        <v>18</v>
      </c>
      <c r="I24" s="15"/>
      <c r="J24" s="11" t="s">
        <v>40</v>
      </c>
      <c r="K24" s="22">
        <f>SIN(2*K22)</f>
        <v>0.62299951449558</v>
      </c>
      <c r="L24" s="16"/>
    </row>
    <row r="25" spans="2:13" x14ac:dyDescent="0.3">
      <c r="I25" s="15"/>
      <c r="J25" s="11" t="s">
        <v>41</v>
      </c>
      <c r="K25" s="22">
        <f>SIN(2*K23)</f>
        <v>0.223560378408626</v>
      </c>
      <c r="L25" s="16"/>
    </row>
    <row r="26" spans="2:13" x14ac:dyDescent="0.3">
      <c r="B26" s="7" t="s">
        <v>12</v>
      </c>
      <c r="I26" s="15"/>
      <c r="J26" s="11" t="s">
        <v>42</v>
      </c>
      <c r="K26" s="22">
        <f>PI()*2/(((2*PI())-(4*K22))+K24)</f>
        <v>1.1298575818319643</v>
      </c>
      <c r="L26" s="16"/>
    </row>
    <row r="27" spans="2:13" x14ac:dyDescent="0.3">
      <c r="B27" s="2" t="s">
        <v>9</v>
      </c>
      <c r="C27" s="4">
        <f>MIN(H14:I14)</f>
        <v>398.28028526424077</v>
      </c>
      <c r="I27" s="15"/>
      <c r="J27" s="11" t="s">
        <v>43</v>
      </c>
      <c r="K27" s="22">
        <f>PI()*2/(((2*PI())-(4*K23))+K25)</f>
        <v>1.0375459316919136</v>
      </c>
      <c r="L27" s="16"/>
    </row>
    <row r="28" spans="2:13" ht="18" thickBot="1" x14ac:dyDescent="0.35">
      <c r="B28" s="2" t="s">
        <v>13</v>
      </c>
      <c r="C28" s="4">
        <f>MAX(H15:I15)</f>
        <v>57.028866031943281</v>
      </c>
      <c r="I28" s="17"/>
      <c r="J28" s="18"/>
      <c r="K28" s="18"/>
      <c r="L28" s="19"/>
    </row>
    <row r="29" spans="2:13" x14ac:dyDescent="0.3">
      <c r="B29" s="6" t="s">
        <v>14</v>
      </c>
      <c r="C29" s="3">
        <v>190</v>
      </c>
    </row>
    <row r="31" spans="2:13" x14ac:dyDescent="0.3">
      <c r="B31" s="7" t="s">
        <v>47</v>
      </c>
    </row>
    <row r="32" spans="2:13" x14ac:dyDescent="0.3">
      <c r="B32" s="2" t="s">
        <v>46</v>
      </c>
      <c r="C32" s="3">
        <v>100</v>
      </c>
    </row>
    <row r="33" spans="2:3" x14ac:dyDescent="0.3">
      <c r="B33" s="2" t="s">
        <v>45</v>
      </c>
      <c r="C33" s="5">
        <f>(-0.0000004*C32*C32)+(0.0035*C32)+0.4075</f>
        <v>0.75350000000000006</v>
      </c>
    </row>
    <row r="35" spans="2:3" x14ac:dyDescent="0.3">
      <c r="B35" s="7" t="s">
        <v>17</v>
      </c>
    </row>
    <row r="36" spans="2:3" x14ac:dyDescent="0.3">
      <c r="B36" s="2" t="s">
        <v>25</v>
      </c>
      <c r="C36" s="5">
        <f>(H18*C10*C29/C9/1000*K26)</f>
        <v>14.311529369871547</v>
      </c>
    </row>
    <row r="37" spans="2:3" x14ac:dyDescent="0.3">
      <c r="B37" s="2" t="s">
        <v>44</v>
      </c>
      <c r="C37" s="5">
        <f>(H19*C10*C29/C9/1000*K27)</f>
        <v>13.142248468097572</v>
      </c>
    </row>
    <row r="38" spans="2:3" x14ac:dyDescent="0.3">
      <c r="B38" s="2" t="s">
        <v>29</v>
      </c>
      <c r="C38" s="5">
        <f>C36*C9/(C12-C9)</f>
        <v>7.0484255040072155</v>
      </c>
    </row>
    <row r="39" spans="2:3" x14ac:dyDescent="0.3">
      <c r="B39" s="2" t="s">
        <v>30</v>
      </c>
      <c r="C39" s="5">
        <f>C37*C9/(C13-C9)</f>
        <v>1.6658230578666626</v>
      </c>
    </row>
    <row r="40" spans="2:3" x14ac:dyDescent="0.3">
      <c r="B40" s="2" t="s">
        <v>27</v>
      </c>
      <c r="C40" s="4">
        <f>1/(C38+C36)*1000</f>
        <v>46.81657830761182</v>
      </c>
    </row>
    <row r="41" spans="2:3" x14ac:dyDescent="0.3">
      <c r="B41" s="2" t="s">
        <v>28</v>
      </c>
      <c r="C41" s="4">
        <f>1/(C39+C37)*1000</f>
        <v>67.53073810094827</v>
      </c>
    </row>
    <row r="42" spans="2:3" x14ac:dyDescent="0.3">
      <c r="B42" s="2" t="s">
        <v>37</v>
      </c>
      <c r="C42" s="4">
        <f>(C12-C9)*C38/C29</f>
        <v>3.1636012291295001</v>
      </c>
    </row>
    <row r="43" spans="2:3" x14ac:dyDescent="0.3">
      <c r="B43" s="2" t="s">
        <v>50</v>
      </c>
      <c r="C43" s="4">
        <f>(C13-C9)*C39/C29</f>
        <v>2.9051286087373582</v>
      </c>
    </row>
    <row r="44" spans="2:3" x14ac:dyDescent="0.3">
      <c r="B44" s="2" t="s">
        <v>52</v>
      </c>
      <c r="C44" s="5">
        <f>C42/2/SQRT(2)</f>
        <v>1.1185019410437831</v>
      </c>
    </row>
    <row r="45" spans="2:3" x14ac:dyDescent="0.3">
      <c r="B45" s="2" t="s">
        <v>51</v>
      </c>
      <c r="C45" s="5">
        <f>C43/2/SQRT(2)</f>
        <v>1.0271180697286131</v>
      </c>
    </row>
    <row r="46" spans="2:3" x14ac:dyDescent="0.3">
      <c r="B46" s="10" t="s">
        <v>67</v>
      </c>
      <c r="C46" s="5">
        <f>6.9*C10/1000</f>
        <v>4.83</v>
      </c>
    </row>
    <row r="47" spans="2:3" x14ac:dyDescent="0.3">
      <c r="B47" s="6" t="s">
        <v>68</v>
      </c>
      <c r="C47" s="3">
        <v>3.2</v>
      </c>
    </row>
    <row r="49" spans="2:3" x14ac:dyDescent="0.3">
      <c r="B49" s="7" t="s">
        <v>34</v>
      </c>
    </row>
    <row r="50" spans="2:3" x14ac:dyDescent="0.3">
      <c r="B50" s="2" t="s">
        <v>32</v>
      </c>
      <c r="C50" s="24">
        <f>IF(C9&lt;C23, K19, C9-35)</f>
        <v>7</v>
      </c>
    </row>
    <row r="51" spans="2:3" x14ac:dyDescent="0.3">
      <c r="B51" s="2" t="s">
        <v>33</v>
      </c>
      <c r="C51" s="4">
        <f>C9-C24</f>
        <v>24</v>
      </c>
    </row>
    <row r="54" spans="2:3" x14ac:dyDescent="0.3">
      <c r="B54" s="7" t="s">
        <v>48</v>
      </c>
    </row>
    <row r="55" spans="2:3" ht="19.5" x14ac:dyDescent="0.3">
      <c r="B55" s="2" t="s">
        <v>54</v>
      </c>
      <c r="C55" s="3">
        <v>58</v>
      </c>
    </row>
    <row r="56" spans="2:3" x14ac:dyDescent="0.3">
      <c r="B56" s="2" t="s">
        <v>55</v>
      </c>
      <c r="C56" s="3">
        <v>3000</v>
      </c>
    </row>
    <row r="57" spans="2:3" ht="19.5" x14ac:dyDescent="0.3">
      <c r="B57" s="2" t="s">
        <v>71</v>
      </c>
      <c r="C57" s="3">
        <v>5</v>
      </c>
    </row>
    <row r="58" spans="2:3" x14ac:dyDescent="0.3">
      <c r="B58" s="2" t="s">
        <v>53</v>
      </c>
      <c r="C58" s="4">
        <v>1</v>
      </c>
    </row>
    <row r="59" spans="2:3" x14ac:dyDescent="0.3">
      <c r="B59" s="2" t="s">
        <v>56</v>
      </c>
      <c r="C59" s="4">
        <f>(C29*0.000001)*C47/C56/C55*100*100000000</f>
        <v>34.942528735632187</v>
      </c>
    </row>
  </sheetData>
  <protectedRanges>
    <protectedRange sqref="B57" name="範圍4"/>
  </protectedRange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9"/>
  <sheetViews>
    <sheetView topLeftCell="A22" zoomScale="85" zoomScaleNormal="85" workbookViewId="0">
      <selection activeCell="E13" sqref="E1:M1048576"/>
    </sheetView>
  </sheetViews>
  <sheetFormatPr defaultRowHeight="17.25" x14ac:dyDescent="0.3"/>
  <cols>
    <col min="1" max="1" width="8.875" style="1" customWidth="1"/>
    <col min="2" max="2" width="37.875" style="1" bestFit="1" customWidth="1"/>
    <col min="3" max="3" width="9.375" style="1" bestFit="1" customWidth="1"/>
    <col min="4" max="4" width="9" style="1"/>
    <col min="5" max="6" width="0" style="1" hidden="1" customWidth="1"/>
    <col min="7" max="7" width="22.625" style="1" hidden="1" customWidth="1"/>
    <col min="8" max="8" width="10.25" style="1" hidden="1" customWidth="1"/>
    <col min="9" max="9" width="10.375" style="1" hidden="1" customWidth="1"/>
    <col min="10" max="10" width="0" style="1" hidden="1" customWidth="1"/>
    <col min="11" max="11" width="20.375" style="1" hidden="1" customWidth="1"/>
    <col min="12" max="13" width="0" style="1" hidden="1" customWidth="1"/>
    <col min="14" max="14" width="21.5" style="1" bestFit="1" customWidth="1"/>
    <col min="15" max="18" width="9" style="1"/>
    <col min="19" max="19" width="15.625" style="1" customWidth="1"/>
    <col min="20" max="16384" width="9" style="1"/>
  </cols>
  <sheetData>
    <row r="3" spans="2:12" x14ac:dyDescent="0.3">
      <c r="B3" s="3" t="s">
        <v>15</v>
      </c>
    </row>
    <row r="4" spans="2:12" x14ac:dyDescent="0.3">
      <c r="B4" s="4" t="s">
        <v>16</v>
      </c>
    </row>
    <row r="6" spans="2:12" x14ac:dyDescent="0.3">
      <c r="B6" s="7" t="s">
        <v>11</v>
      </c>
    </row>
    <row r="7" spans="2:12" x14ac:dyDescent="0.3">
      <c r="B7" s="9" t="s">
        <v>4</v>
      </c>
      <c r="C7" s="3">
        <v>90</v>
      </c>
    </row>
    <row r="8" spans="2:12" x14ac:dyDescent="0.3">
      <c r="B8" s="9" t="s">
        <v>5</v>
      </c>
      <c r="C8" s="3">
        <v>264</v>
      </c>
    </row>
    <row r="9" spans="2:12" x14ac:dyDescent="0.3">
      <c r="B9" s="8" t="s">
        <v>59</v>
      </c>
      <c r="C9" s="3">
        <v>120</v>
      </c>
    </row>
    <row r="10" spans="2:12" x14ac:dyDescent="0.3">
      <c r="B10" s="8" t="s">
        <v>8</v>
      </c>
      <c r="C10" s="3">
        <v>150</v>
      </c>
    </row>
    <row r="11" spans="2:12" x14ac:dyDescent="0.3">
      <c r="B11" s="8" t="s">
        <v>60</v>
      </c>
      <c r="C11" s="3">
        <v>88</v>
      </c>
    </row>
    <row r="12" spans="2:12" ht="18" thickBot="1" x14ac:dyDescent="0.35">
      <c r="B12" s="2" t="s">
        <v>6</v>
      </c>
      <c r="C12" s="4">
        <f>C7*SQRT(2)</f>
        <v>127.27922061357856</v>
      </c>
    </row>
    <row r="13" spans="2:12" x14ac:dyDescent="0.3">
      <c r="B13" s="2" t="s">
        <v>7</v>
      </c>
      <c r="C13" s="4">
        <f>C8*SQRT(2)</f>
        <v>373.3523804664971</v>
      </c>
      <c r="F13" s="12" t="s">
        <v>24</v>
      </c>
      <c r="G13" s="13"/>
      <c r="H13" s="13"/>
      <c r="I13" s="13"/>
      <c r="J13" s="13"/>
      <c r="K13" s="13"/>
      <c r="L13" s="14"/>
    </row>
    <row r="14" spans="2:12" x14ac:dyDescent="0.3">
      <c r="B14" s="6" t="s">
        <v>18</v>
      </c>
      <c r="C14" s="4">
        <f>C22/C10</f>
        <v>1.6666666666666667</v>
      </c>
      <c r="F14" s="15"/>
      <c r="G14" s="11"/>
      <c r="H14" s="11" t="s">
        <v>22</v>
      </c>
      <c r="I14" s="11" t="s">
        <v>23</v>
      </c>
      <c r="J14" s="11"/>
      <c r="K14" s="11"/>
      <c r="L14" s="16"/>
    </row>
    <row r="15" spans="2:12" x14ac:dyDescent="0.3">
      <c r="F15" s="15"/>
      <c r="G15" s="11" t="s">
        <v>9</v>
      </c>
      <c r="H15" s="20">
        <f>H19*C12*C9*C21/4/C10/(C9+C12)*1000</f>
        <v>2717.714344020349</v>
      </c>
      <c r="I15" s="20">
        <f>H19*C12*C12*C19/4/C10/(C12+C9)*1000</f>
        <v>3362.9999234732927</v>
      </c>
      <c r="J15" s="11"/>
      <c r="K15" s="11" t="s">
        <v>21</v>
      </c>
      <c r="L15" s="16"/>
    </row>
    <row r="16" spans="2:12" x14ac:dyDescent="0.3">
      <c r="F16" s="15"/>
      <c r="G16" s="11" t="s">
        <v>13</v>
      </c>
      <c r="H16" s="20">
        <f>H19*C13*C9*C20/4/C10/(C9+C13)*1000</f>
        <v>266.38168402053861</v>
      </c>
      <c r="I16" s="20">
        <f>H19*C13*C13*C18/4/C10/(C13+C9)*1000</f>
        <v>207.19632467029655</v>
      </c>
      <c r="J16" s="11"/>
      <c r="K16" s="11" t="s">
        <v>20</v>
      </c>
      <c r="L16" s="16"/>
    </row>
    <row r="17" spans="2:12" x14ac:dyDescent="0.3">
      <c r="B17" s="7" t="s">
        <v>10</v>
      </c>
      <c r="F17" s="15"/>
      <c r="G17" s="11"/>
      <c r="H17" s="11"/>
      <c r="I17" s="11"/>
      <c r="J17" s="11"/>
      <c r="K17" s="11"/>
      <c r="L17" s="16"/>
    </row>
    <row r="18" spans="2:12" x14ac:dyDescent="0.3">
      <c r="B18" s="2" t="s">
        <v>0</v>
      </c>
      <c r="C18" s="25">
        <v>0.5</v>
      </c>
      <c r="F18" s="15"/>
      <c r="G18" s="11"/>
      <c r="H18" s="11"/>
      <c r="I18" s="11"/>
      <c r="J18" s="11"/>
      <c r="K18" s="11"/>
      <c r="L18" s="16"/>
    </row>
    <row r="19" spans="2:12" x14ac:dyDescent="0.3">
      <c r="B19" s="2" t="s">
        <v>1</v>
      </c>
      <c r="C19" s="25">
        <v>35</v>
      </c>
      <c r="F19" s="15"/>
      <c r="G19" s="20" t="s">
        <v>57</v>
      </c>
      <c r="H19" s="22">
        <f>C11/100</f>
        <v>0.88</v>
      </c>
      <c r="I19" s="11"/>
      <c r="J19" s="21" t="s">
        <v>58</v>
      </c>
      <c r="K19" s="21"/>
      <c r="L19" s="16"/>
    </row>
    <row r="20" spans="2:12" x14ac:dyDescent="0.3">
      <c r="B20" s="2" t="s">
        <v>2</v>
      </c>
      <c r="C20" s="25">
        <v>2</v>
      </c>
      <c r="F20" s="15"/>
      <c r="G20" s="20"/>
      <c r="H20" s="20"/>
      <c r="I20" s="11"/>
      <c r="J20" s="21"/>
      <c r="K20" s="23" t="s">
        <v>64</v>
      </c>
      <c r="L20" s="16"/>
    </row>
    <row r="21" spans="2:12" ht="18" thickBot="1" x14ac:dyDescent="0.35">
      <c r="B21" s="2" t="s">
        <v>3</v>
      </c>
      <c r="C21" s="25">
        <v>30</v>
      </c>
      <c r="F21" s="17"/>
      <c r="G21" s="18"/>
      <c r="H21" s="18"/>
      <c r="I21" s="18"/>
      <c r="J21" s="18"/>
      <c r="K21" s="18"/>
      <c r="L21" s="19"/>
    </row>
    <row r="22" spans="2:12" x14ac:dyDescent="0.3">
      <c r="B22" s="2" t="s">
        <v>19</v>
      </c>
      <c r="C22" s="25">
        <v>250</v>
      </c>
    </row>
    <row r="23" spans="2:12" x14ac:dyDescent="0.3">
      <c r="B23" s="2" t="s">
        <v>35</v>
      </c>
      <c r="C23" s="25">
        <v>35</v>
      </c>
    </row>
    <row r="24" spans="2:12" x14ac:dyDescent="0.3">
      <c r="B24" s="2" t="s">
        <v>36</v>
      </c>
      <c r="C24" s="25">
        <v>18</v>
      </c>
    </row>
    <row r="26" spans="2:12" x14ac:dyDescent="0.3">
      <c r="B26" s="7" t="s">
        <v>12</v>
      </c>
    </row>
    <row r="27" spans="2:12" x14ac:dyDescent="0.3">
      <c r="B27" s="2" t="s">
        <v>9</v>
      </c>
      <c r="C27" s="4">
        <f>MIN(H15:I15)</f>
        <v>2717.714344020349</v>
      </c>
    </row>
    <row r="28" spans="2:12" x14ac:dyDescent="0.3">
      <c r="B28" s="2" t="s">
        <v>13</v>
      </c>
      <c r="C28" s="4">
        <f>MAX(H16:I16)</f>
        <v>266.38168402053861</v>
      </c>
    </row>
    <row r="29" spans="2:12" x14ac:dyDescent="0.3">
      <c r="B29" s="6" t="s">
        <v>14</v>
      </c>
      <c r="C29" s="3">
        <v>1000</v>
      </c>
    </row>
    <row r="31" spans="2:12" x14ac:dyDescent="0.3">
      <c r="B31" s="7" t="s">
        <v>47</v>
      </c>
    </row>
    <row r="32" spans="2:12" x14ac:dyDescent="0.3">
      <c r="B32" s="2" t="s">
        <v>46</v>
      </c>
      <c r="C32" s="3">
        <v>100</v>
      </c>
    </row>
    <row r="33" spans="2:3" x14ac:dyDescent="0.3">
      <c r="B33" s="2" t="s">
        <v>45</v>
      </c>
      <c r="C33" s="5">
        <f>(-0.0000004*C32*C32)+(0.0035*C32)+0.4075</f>
        <v>0.75350000000000006</v>
      </c>
    </row>
    <row r="35" spans="2:3" x14ac:dyDescent="0.3">
      <c r="B35" s="7" t="s">
        <v>17</v>
      </c>
    </row>
    <row r="36" spans="2:3" x14ac:dyDescent="0.3">
      <c r="B36" s="2" t="s">
        <v>25</v>
      </c>
      <c r="C36" s="5">
        <f>(4*C29*C10*(C12+C9)/H19/C9/C12/1000)</f>
        <v>11.038687736261721</v>
      </c>
    </row>
    <row r="37" spans="2:3" x14ac:dyDescent="0.3">
      <c r="B37" s="2" t="s">
        <v>26</v>
      </c>
      <c r="C37" s="5">
        <f>(4*C29*C10*(C13+C9)/H19/C9/C13/1000)</f>
        <v>7.5080237117421174</v>
      </c>
    </row>
    <row r="38" spans="2:3" x14ac:dyDescent="0.3">
      <c r="B38" s="2" t="s">
        <v>29</v>
      </c>
      <c r="C38" s="5">
        <f>C36*C9/C12</f>
        <v>10.40737460494859</v>
      </c>
    </row>
    <row r="39" spans="2:3" x14ac:dyDescent="0.3">
      <c r="B39" s="2" t="s">
        <v>30</v>
      </c>
      <c r="C39" s="5">
        <f>C37*C9/C13</f>
        <v>2.4131702181282928</v>
      </c>
    </row>
    <row r="40" spans="2:3" x14ac:dyDescent="0.3">
      <c r="B40" s="2" t="s">
        <v>27</v>
      </c>
      <c r="C40" s="4">
        <f>1/(C38+C36)*1000</f>
        <v>46.628606412209322</v>
      </c>
    </row>
    <row r="41" spans="2:3" x14ac:dyDescent="0.3">
      <c r="B41" s="2" t="s">
        <v>28</v>
      </c>
      <c r="C41" s="4">
        <f>1/(C39+C37)*1000</f>
        <v>100.79432042843476</v>
      </c>
    </row>
    <row r="42" spans="2:3" x14ac:dyDescent="0.3">
      <c r="B42" s="2" t="s">
        <v>37</v>
      </c>
      <c r="C42" s="4">
        <f>C12*C38/C29</f>
        <v>1.3246425283514065</v>
      </c>
    </row>
    <row r="43" spans="2:3" x14ac:dyDescent="0.3">
      <c r="B43" s="2" t="s">
        <v>50</v>
      </c>
      <c r="C43" s="4">
        <f>C13*C39/C29</f>
        <v>0.90096284540905414</v>
      </c>
    </row>
    <row r="44" spans="2:3" x14ac:dyDescent="0.3">
      <c r="B44" s="2" t="s">
        <v>52</v>
      </c>
      <c r="C44" s="5">
        <f>C42/2/SQRT(2)</f>
        <v>0.4683318572226865</v>
      </c>
    </row>
    <row r="45" spans="2:3" x14ac:dyDescent="0.3">
      <c r="B45" s="2" t="s">
        <v>51</v>
      </c>
      <c r="C45" s="5">
        <f>C43/2/SQRT(2)</f>
        <v>0.31853846879293463</v>
      </c>
    </row>
    <row r="46" spans="2:3" x14ac:dyDescent="0.3">
      <c r="B46" s="10" t="s">
        <v>67</v>
      </c>
      <c r="C46" s="5">
        <f>6.9*C10/1000</f>
        <v>1.0349999999999999</v>
      </c>
    </row>
    <row r="47" spans="2:3" x14ac:dyDescent="0.3">
      <c r="B47" s="6" t="s">
        <v>68</v>
      </c>
      <c r="C47" s="3">
        <v>1.04</v>
      </c>
    </row>
    <row r="49" spans="2:3" x14ac:dyDescent="0.3">
      <c r="B49" s="7" t="s">
        <v>34</v>
      </c>
    </row>
    <row r="50" spans="2:3" x14ac:dyDescent="0.3">
      <c r="B50" s="2" t="s">
        <v>32</v>
      </c>
      <c r="C50" s="24">
        <f>IF(C9&lt;C23, K20, C9-35)</f>
        <v>85</v>
      </c>
    </row>
    <row r="51" spans="2:3" x14ac:dyDescent="0.3">
      <c r="B51" s="2" t="s">
        <v>33</v>
      </c>
      <c r="C51" s="4">
        <f>C9-C24</f>
        <v>102</v>
      </c>
    </row>
    <row r="54" spans="2:3" x14ac:dyDescent="0.3">
      <c r="B54" s="7" t="s">
        <v>48</v>
      </c>
    </row>
    <row r="55" spans="2:3" ht="19.5" x14ac:dyDescent="0.3">
      <c r="B55" s="2" t="s">
        <v>54</v>
      </c>
      <c r="C55" s="3">
        <v>22.3</v>
      </c>
    </row>
    <row r="56" spans="2:3" x14ac:dyDescent="0.3">
      <c r="B56" s="2" t="s">
        <v>55</v>
      </c>
      <c r="C56" s="3">
        <v>3000</v>
      </c>
    </row>
    <row r="57" spans="2:3" ht="19.5" x14ac:dyDescent="0.3">
      <c r="B57" s="2" t="s">
        <v>71</v>
      </c>
      <c r="C57" s="3">
        <v>5</v>
      </c>
    </row>
    <row r="58" spans="2:3" x14ac:dyDescent="0.3">
      <c r="B58" s="2" t="s">
        <v>53</v>
      </c>
      <c r="C58" s="4">
        <f>SQRT(1600/C57*(MAX(C44:C45))/PI())*2/39.37</f>
        <v>0.35086616017153616</v>
      </c>
    </row>
    <row r="59" spans="2:3" x14ac:dyDescent="0.3">
      <c r="B59" s="2" t="s">
        <v>49</v>
      </c>
      <c r="C59" s="4">
        <f>(C29*0.000001)*C47/C56/C55*100*100000000</f>
        <v>155.45590433482809</v>
      </c>
    </row>
  </sheetData>
  <protectedRanges>
    <protectedRange sqref="B57" name="範圍4"/>
  </protectedRange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0"/>
  <sheetViews>
    <sheetView zoomScale="85" zoomScaleNormal="85" workbookViewId="0">
      <selection activeCell="F44" sqref="F44"/>
    </sheetView>
  </sheetViews>
  <sheetFormatPr defaultRowHeight="17.25" x14ac:dyDescent="0.3"/>
  <cols>
    <col min="1" max="1" width="8.875" style="1" customWidth="1"/>
    <col min="2" max="2" width="37.875" style="1" bestFit="1" customWidth="1"/>
    <col min="3" max="3" width="8.25" style="1" bestFit="1" customWidth="1"/>
    <col min="4" max="16384" width="9" style="1"/>
  </cols>
  <sheetData>
    <row r="3" spans="2:3" x14ac:dyDescent="0.3">
      <c r="B3" s="3" t="s">
        <v>15</v>
      </c>
    </row>
    <row r="4" spans="2:3" x14ac:dyDescent="0.3">
      <c r="B4" s="4" t="s">
        <v>16</v>
      </c>
    </row>
    <row r="6" spans="2:3" x14ac:dyDescent="0.3">
      <c r="B6" s="7" t="s">
        <v>11</v>
      </c>
    </row>
    <row r="7" spans="2:3" x14ac:dyDescent="0.3">
      <c r="B7" s="8" t="s">
        <v>62</v>
      </c>
      <c r="C7" s="3">
        <v>40</v>
      </c>
    </row>
    <row r="8" spans="2:3" x14ac:dyDescent="0.3">
      <c r="B8" s="8" t="s">
        <v>63</v>
      </c>
      <c r="C8" s="3">
        <v>43</v>
      </c>
    </row>
    <row r="9" spans="2:3" x14ac:dyDescent="0.3">
      <c r="B9" s="8" t="s">
        <v>59</v>
      </c>
      <c r="C9" s="3">
        <v>30</v>
      </c>
    </row>
    <row r="10" spans="2:3" x14ac:dyDescent="0.3">
      <c r="B10" s="8" t="s">
        <v>8</v>
      </c>
      <c r="C10" s="3">
        <v>500</v>
      </c>
    </row>
    <row r="11" spans="2:3" x14ac:dyDescent="0.3">
      <c r="B11" s="8" t="s">
        <v>66</v>
      </c>
      <c r="C11" s="3">
        <v>0.7</v>
      </c>
    </row>
    <row r="12" spans="2:3" x14ac:dyDescent="0.3">
      <c r="B12" s="8" t="s">
        <v>61</v>
      </c>
      <c r="C12" s="3">
        <v>50</v>
      </c>
    </row>
    <row r="13" spans="2:3" x14ac:dyDescent="0.3">
      <c r="B13" s="6" t="s">
        <v>18</v>
      </c>
      <c r="C13" s="4">
        <f>C21/C10</f>
        <v>0.5</v>
      </c>
    </row>
    <row r="16" spans="2:3" x14ac:dyDescent="0.3">
      <c r="B16" s="7" t="s">
        <v>10</v>
      </c>
    </row>
    <row r="17" spans="2:3" x14ac:dyDescent="0.3">
      <c r="B17" s="2" t="s">
        <v>0</v>
      </c>
      <c r="C17" s="25">
        <v>0.5</v>
      </c>
    </row>
    <row r="18" spans="2:3" x14ac:dyDescent="0.3">
      <c r="B18" s="2" t="s">
        <v>1</v>
      </c>
      <c r="C18" s="25">
        <v>35</v>
      </c>
    </row>
    <row r="19" spans="2:3" x14ac:dyDescent="0.3">
      <c r="B19" s="2" t="s">
        <v>2</v>
      </c>
      <c r="C19" s="25">
        <v>2</v>
      </c>
    </row>
    <row r="20" spans="2:3" x14ac:dyDescent="0.3">
      <c r="B20" s="2" t="s">
        <v>3</v>
      </c>
      <c r="C20" s="25">
        <v>30</v>
      </c>
    </row>
    <row r="21" spans="2:3" x14ac:dyDescent="0.3">
      <c r="B21" s="2" t="s">
        <v>19</v>
      </c>
      <c r="C21" s="25">
        <v>250</v>
      </c>
    </row>
    <row r="22" spans="2:3" x14ac:dyDescent="0.3">
      <c r="B22" s="2" t="s">
        <v>35</v>
      </c>
      <c r="C22" s="25">
        <v>35</v>
      </c>
    </row>
    <row r="23" spans="2:3" x14ac:dyDescent="0.3">
      <c r="B23" s="2" t="s">
        <v>36</v>
      </c>
      <c r="C23" s="25">
        <v>18</v>
      </c>
    </row>
    <row r="25" spans="2:3" x14ac:dyDescent="0.3">
      <c r="B25" s="7" t="s">
        <v>12</v>
      </c>
    </row>
    <row r="26" spans="2:3" x14ac:dyDescent="0.3">
      <c r="B26" s="2" t="s">
        <v>13</v>
      </c>
      <c r="C26" s="4">
        <f>(C7-C9)*((C9+C11)/C7)/C12/2/C10*1000000</f>
        <v>153.5</v>
      </c>
    </row>
    <row r="27" spans="2:3" x14ac:dyDescent="0.3">
      <c r="B27" s="6" t="s">
        <v>14</v>
      </c>
      <c r="C27" s="3">
        <v>150</v>
      </c>
    </row>
    <row r="29" spans="2:3" x14ac:dyDescent="0.3">
      <c r="B29" s="7" t="s">
        <v>47</v>
      </c>
    </row>
    <row r="30" spans="2:3" x14ac:dyDescent="0.3">
      <c r="B30" s="2" t="s">
        <v>46</v>
      </c>
      <c r="C30" s="3">
        <v>100</v>
      </c>
    </row>
    <row r="31" spans="2:3" x14ac:dyDescent="0.3">
      <c r="B31" s="2" t="s">
        <v>45</v>
      </c>
      <c r="C31" s="5">
        <f>(-0.0000004*C30*C30)+(0.0035*C30)+0.4075</f>
        <v>0.75350000000000006</v>
      </c>
    </row>
    <row r="33" spans="2:3" x14ac:dyDescent="0.3">
      <c r="B33" s="7" t="s">
        <v>17</v>
      </c>
    </row>
    <row r="34" spans="2:3" x14ac:dyDescent="0.3">
      <c r="B34" s="2" t="s">
        <v>25</v>
      </c>
      <c r="C34" s="5">
        <f>1/C38*1000*(1-((C9+C11)/C7))</f>
        <v>4.5439739413680797</v>
      </c>
    </row>
    <row r="35" spans="2:3" x14ac:dyDescent="0.3">
      <c r="B35" s="2" t="s">
        <v>26</v>
      </c>
      <c r="C35" s="5">
        <f>1/C39*1000*(1-((C9+C11)/C8))</f>
        <v>4.6229015284389865</v>
      </c>
    </row>
    <row r="36" spans="2:3" x14ac:dyDescent="0.3">
      <c r="B36" s="2" t="s">
        <v>29</v>
      </c>
      <c r="C36" s="5">
        <f>1/C38*1000*((C9+C11)/C7)</f>
        <v>15</v>
      </c>
    </row>
    <row r="37" spans="2:3" x14ac:dyDescent="0.3">
      <c r="B37" s="2" t="s">
        <v>30</v>
      </c>
      <c r="C37" s="5">
        <f>1/C39*1000*((C9+C11)/C8)</f>
        <v>11.538461538461537</v>
      </c>
    </row>
    <row r="38" spans="2:3" x14ac:dyDescent="0.3">
      <c r="B38" s="2" t="s">
        <v>27</v>
      </c>
      <c r="C38" s="4">
        <f>(C7-C9)*((C9+C11)/C7)/C27/2/C10*1000000</f>
        <v>51.166666666666664</v>
      </c>
    </row>
    <row r="39" spans="2:3" x14ac:dyDescent="0.3">
      <c r="B39" s="2" t="s">
        <v>28</v>
      </c>
      <c r="C39" s="4">
        <f>(C8-C9)*((C9+C11)/C8)/C27/2/C10*1000000</f>
        <v>61.875968992248069</v>
      </c>
    </row>
    <row r="40" spans="2:3" x14ac:dyDescent="0.3">
      <c r="B40" s="2" t="s">
        <v>37</v>
      </c>
      <c r="C40" s="4">
        <f>2*C10/1000</f>
        <v>1</v>
      </c>
    </row>
    <row r="41" spans="2:3" x14ac:dyDescent="0.3">
      <c r="B41" s="2" t="s">
        <v>50</v>
      </c>
      <c r="C41" s="4">
        <f>2*C10/1000</f>
        <v>1</v>
      </c>
    </row>
    <row r="42" spans="2:3" x14ac:dyDescent="0.3">
      <c r="B42" s="2" t="s">
        <v>52</v>
      </c>
      <c r="C42" s="5">
        <f>C40/2/SQRT(2)</f>
        <v>0.35355339059327373</v>
      </c>
    </row>
    <row r="43" spans="2:3" x14ac:dyDescent="0.3">
      <c r="B43" s="2" t="s">
        <v>51</v>
      </c>
      <c r="C43" s="5">
        <f>C41/2/SQRT(2)</f>
        <v>0.35355339059327373</v>
      </c>
    </row>
    <row r="44" spans="2:3" x14ac:dyDescent="0.3">
      <c r="B44" s="10" t="s">
        <v>67</v>
      </c>
      <c r="C44" s="5">
        <f>6.9*C10/1000</f>
        <v>3.45</v>
      </c>
    </row>
    <row r="45" spans="2:3" x14ac:dyDescent="0.3">
      <c r="B45" s="6" t="s">
        <v>68</v>
      </c>
      <c r="C45" s="3">
        <v>3.5</v>
      </c>
    </row>
    <row r="47" spans="2:3" x14ac:dyDescent="0.3">
      <c r="B47" s="7" t="s">
        <v>34</v>
      </c>
    </row>
    <row r="48" spans="2:3" x14ac:dyDescent="0.3">
      <c r="B48" s="2" t="s">
        <v>32</v>
      </c>
      <c r="C48" s="24" t="str">
        <f>IF(C9&lt;C22,B60, C9-35)</f>
        <v>Short</v>
      </c>
    </row>
    <row r="49" spans="2:3" x14ac:dyDescent="0.3">
      <c r="B49" s="2" t="s">
        <v>33</v>
      </c>
      <c r="C49" s="4">
        <f>C9-C23</f>
        <v>12</v>
      </c>
    </row>
    <row r="52" spans="2:3" x14ac:dyDescent="0.3">
      <c r="B52" s="7" t="s">
        <v>48</v>
      </c>
    </row>
    <row r="53" spans="2:3" ht="19.5" x14ac:dyDescent="0.3">
      <c r="B53" s="2" t="s">
        <v>54</v>
      </c>
      <c r="C53" s="3">
        <v>22.3</v>
      </c>
    </row>
    <row r="54" spans="2:3" x14ac:dyDescent="0.3">
      <c r="B54" s="2" t="s">
        <v>55</v>
      </c>
      <c r="C54" s="3">
        <v>3000</v>
      </c>
    </row>
    <row r="55" spans="2:3" ht="19.5" x14ac:dyDescent="0.3">
      <c r="B55" s="2" t="s">
        <v>71</v>
      </c>
      <c r="C55" s="3">
        <v>5</v>
      </c>
    </row>
    <row r="56" spans="2:3" x14ac:dyDescent="0.3">
      <c r="B56" s="2" t="s">
        <v>53</v>
      </c>
      <c r="C56" s="4">
        <f>SQRT(1600/C55*(MAX(C42:C43))/PI())*2/39.37</f>
        <v>0.30485416787209896</v>
      </c>
    </row>
    <row r="57" spans="2:3" x14ac:dyDescent="0.3">
      <c r="B57" s="2" t="s">
        <v>49</v>
      </c>
      <c r="C57" s="4">
        <f>(C27*0.000001)*C45/C54/C53*100*100000000</f>
        <v>78.47533632286995</v>
      </c>
    </row>
    <row r="60" spans="2:3" x14ac:dyDescent="0.3">
      <c r="B60" s="26" t="s">
        <v>65</v>
      </c>
    </row>
  </sheetData>
  <protectedRanges>
    <protectedRange sqref="B55" name="範圍4"/>
  </protectedRanges>
  <phoneticPr fontId="1" type="noConversion"/>
  <conditionalFormatting sqref="C36">
    <cfRule type="expression" dxfId="7" priority="6">
      <formula>$C$36&lt;=$C$17</formula>
    </cfRule>
    <cfRule type="expression" dxfId="6" priority="8">
      <formula>$C$36&gt;=$C$18</formula>
    </cfRule>
  </conditionalFormatting>
  <conditionalFormatting sqref="C37">
    <cfRule type="expression" dxfId="5" priority="5">
      <formula>$C$37&lt;=$C$17</formula>
    </cfRule>
    <cfRule type="expression" dxfId="4" priority="7">
      <formula>$C$37&gt;=$C$18</formula>
    </cfRule>
  </conditionalFormatting>
  <conditionalFormatting sqref="C34">
    <cfRule type="expression" dxfId="3" priority="3">
      <formula>$C$34&lt;=$C$19</formula>
    </cfRule>
    <cfRule type="expression" dxfId="2" priority="4">
      <formula>$C$34&gt;=$C$20</formula>
    </cfRule>
  </conditionalFormatting>
  <conditionalFormatting sqref="C35">
    <cfRule type="expression" dxfId="1" priority="1">
      <formula>$C$35&lt;=$C$19</formula>
    </cfRule>
    <cfRule type="expression" dxfId="0" priority="2">
      <formula>$C$35&gt;=$C$20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BUCK_V0.23</vt:lpstr>
      <vt:lpstr>BUCK BOOST_V0.23</vt:lpstr>
      <vt:lpstr>BUCK_non PF_V0.23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RT8487 design tool</dc:title>
  <dc:creator/>
  <cp:lastModifiedBy/>
  <dcterms:created xsi:type="dcterms:W3CDTF">2006-09-16T00:00:00Z</dcterms:created>
  <dcterms:modified xsi:type="dcterms:W3CDTF">2016-07-04T10:30:25Z</dcterms:modified>
</cp:coreProperties>
</file>